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i\Desktop\"/>
    </mc:Choice>
  </mc:AlternateContent>
  <bookViews>
    <workbookView xWindow="0" yWindow="0" windowWidth="14850" windowHeight="8865" tabRatio="55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6" i="1" l="1"/>
  <c r="P5" i="1"/>
  <c r="R6" i="1"/>
  <c r="R5" i="1"/>
  <c r="C25" i="1"/>
  <c r="F13" i="1"/>
  <c r="F7" i="1"/>
  <c r="F6" i="1" s="1"/>
  <c r="F3" i="1"/>
  <c r="F24" i="1"/>
  <c r="P7" i="1" l="1"/>
  <c r="R7" i="1" s="1"/>
  <c r="F25" i="1"/>
  <c r="E35" i="1" s="1"/>
  <c r="E36" i="1" s="1"/>
  <c r="C30" i="1"/>
  <c r="C15" i="1" s="1"/>
  <c r="F14" i="1"/>
  <c r="C6" i="1"/>
  <c r="C7" i="1" s="1"/>
  <c r="C9" i="1" s="1"/>
  <c r="P8" i="1" l="1"/>
  <c r="F26" i="1"/>
  <c r="F28" i="1" s="1"/>
  <c r="R8" i="1"/>
  <c r="C8" i="1"/>
  <c r="F4" i="1" s="1"/>
  <c r="F27" i="1" l="1"/>
  <c r="F29" i="1" s="1"/>
  <c r="P9" i="1"/>
  <c r="R9" i="1"/>
  <c r="F30" i="1"/>
  <c r="E34" i="1" s="1"/>
  <c r="E37" i="1" s="1"/>
  <c r="E38" i="1" s="1"/>
  <c r="C12" i="1"/>
  <c r="F8" i="1"/>
  <c r="N5" i="1" s="1"/>
  <c r="T5" i="1" s="1"/>
  <c r="W5" i="1" l="1"/>
  <c r="X5" i="1" s="1"/>
  <c r="N9" i="1"/>
  <c r="N6" i="1"/>
  <c r="W6" i="1" s="1"/>
  <c r="X6" i="1" s="1"/>
  <c r="N8" i="1"/>
  <c r="N7" i="1"/>
  <c r="W7" i="1" s="1"/>
  <c r="X7" i="1" s="1"/>
  <c r="P10" i="1"/>
  <c r="N10" i="1" s="1"/>
  <c r="W10" i="1" s="1"/>
  <c r="C16" i="1"/>
  <c r="E39" i="1"/>
  <c r="C3" i="1"/>
  <c r="C19" i="1" s="1"/>
  <c r="T9" i="1" l="1"/>
  <c r="U9" i="1" s="1"/>
  <c r="W9" i="1"/>
  <c r="X9" i="1" s="1"/>
  <c r="T8" i="1"/>
  <c r="U8" i="1" s="1"/>
  <c r="W8" i="1"/>
  <c r="X8" i="1" s="1"/>
  <c r="M6" i="1"/>
  <c r="L6" i="1" s="1"/>
  <c r="K6" i="1" s="1"/>
  <c r="J6" i="1" s="1"/>
  <c r="M5" i="1"/>
  <c r="L5" i="1" s="1"/>
  <c r="K5" i="1" s="1"/>
  <c r="J5" i="1" s="1"/>
  <c r="M7" i="1"/>
  <c r="L7" i="1" s="1"/>
  <c r="K7" i="1" s="1"/>
  <c r="J7" i="1" s="1"/>
  <c r="P11" i="1"/>
  <c r="N11" i="1" s="1"/>
  <c r="W11" i="1" s="1"/>
  <c r="T10" i="1"/>
  <c r="U10" i="1" s="1"/>
  <c r="R10" i="1"/>
  <c r="X10" i="1"/>
  <c r="T6" i="1"/>
  <c r="U6" i="1" s="1"/>
  <c r="T7" i="1"/>
  <c r="U7" i="1" s="1"/>
  <c r="U5" i="1"/>
  <c r="M10" i="1"/>
  <c r="L10" i="1" s="1"/>
  <c r="K10" i="1" s="1"/>
  <c r="J10" i="1" s="1"/>
  <c r="M9" i="1"/>
  <c r="L9" i="1" s="1"/>
  <c r="K9" i="1" s="1"/>
  <c r="J9" i="1" s="1"/>
  <c r="M8" i="1"/>
  <c r="L8" i="1" s="1"/>
  <c r="K8" i="1" s="1"/>
  <c r="J8" i="1" s="1"/>
  <c r="C20" i="1"/>
  <c r="C21" i="1" s="1"/>
  <c r="F19" i="1" s="1"/>
  <c r="R11" i="1" l="1"/>
  <c r="P12" i="1"/>
  <c r="N12" i="1" s="1"/>
  <c r="W12" i="1" s="1"/>
  <c r="X11" i="1"/>
  <c r="R12" i="1"/>
  <c r="T11" i="1" l="1"/>
  <c r="U11" i="1" s="1"/>
  <c r="M11" i="1"/>
  <c r="L11" i="1" s="1"/>
  <c r="K11" i="1" s="1"/>
  <c r="J11" i="1" s="1"/>
  <c r="P13" i="1"/>
  <c r="N13" i="1" s="1"/>
  <c r="W13" i="1" s="1"/>
  <c r="X12" i="1"/>
  <c r="P14" i="1" l="1"/>
  <c r="X13" i="1"/>
  <c r="T12" i="1"/>
  <c r="U12" i="1" s="1"/>
  <c r="M12" i="1"/>
  <c r="L12" i="1" s="1"/>
  <c r="K12" i="1" s="1"/>
  <c r="J12" i="1" s="1"/>
  <c r="R13" i="1"/>
  <c r="R14" i="1" l="1"/>
  <c r="N14" i="1"/>
  <c r="W14" i="1" s="1"/>
  <c r="T13" i="1"/>
  <c r="U13" i="1" s="1"/>
  <c r="M13" i="1"/>
  <c r="L13" i="1" s="1"/>
  <c r="K13" i="1" s="1"/>
  <c r="J13" i="1" s="1"/>
  <c r="P15" i="1"/>
  <c r="N15" i="1" s="1"/>
  <c r="W15" i="1" s="1"/>
  <c r="X14" i="1"/>
  <c r="T14" i="1" l="1"/>
  <c r="U14" i="1" s="1"/>
  <c r="M14" i="1"/>
  <c r="L14" i="1" s="1"/>
  <c r="K14" i="1" s="1"/>
  <c r="J14" i="1" s="1"/>
  <c r="X15" i="1"/>
  <c r="P16" i="1"/>
  <c r="N16" i="1" s="1"/>
  <c r="W16" i="1" s="1"/>
  <c r="R15" i="1"/>
  <c r="R16" i="1" l="1"/>
  <c r="T15" i="1"/>
  <c r="U15" i="1" s="1"/>
  <c r="M15" i="1"/>
  <c r="L15" i="1" s="1"/>
  <c r="K15" i="1" s="1"/>
  <c r="J15" i="1" s="1"/>
  <c r="X16" i="1"/>
  <c r="T16" i="1" l="1"/>
  <c r="U16" i="1" s="1"/>
  <c r="M16" i="1"/>
  <c r="L16" i="1" s="1"/>
  <c r="K16" i="1" s="1"/>
  <c r="J16" i="1" s="1"/>
</calcChain>
</file>

<file path=xl/comments1.xml><?xml version="1.0" encoding="utf-8"?>
<comments xmlns="http://schemas.openxmlformats.org/spreadsheetml/2006/main">
  <authors>
    <author>Trader4life</author>
  </authors>
  <commentList>
    <comment ref="F24" authorId="0" shapeId="0">
      <text>
        <r>
          <rPr>
            <sz val="8"/>
            <color indexed="81"/>
            <rFont val="Tahoma"/>
            <charset val="1"/>
          </rPr>
          <t>52 x 5 = 260 - 9 holidays = 251
Holiday breakdown:
New Years Day = 1 day
Ford Funeral = 1 day
Martin Luther King Holiday = 1 day
President's Day = 1 day
Memorial Day = 1 day
Independence Day = 1 day
Labor Day = 1 day
Thanksgiving = 1 day
Christmas = 1 day</t>
        </r>
      </text>
    </comment>
  </commentList>
</comments>
</file>

<file path=xl/sharedStrings.xml><?xml version="1.0" encoding="utf-8"?>
<sst xmlns="http://schemas.openxmlformats.org/spreadsheetml/2006/main" count="71" uniqueCount="62">
  <si>
    <t>Day Trading Financial Objectives</t>
  </si>
  <si>
    <t>Trading Weeks</t>
  </si>
  <si>
    <t>Batting Average</t>
  </si>
  <si>
    <t>Sharpe Ratio</t>
  </si>
  <si>
    <t>Number of trades per week</t>
  </si>
  <si>
    <t>Winning Trades</t>
  </si>
  <si>
    <t>Profit per winning Trade</t>
  </si>
  <si>
    <t>Losing Trades</t>
  </si>
  <si>
    <t>Loss per losing trade</t>
  </si>
  <si>
    <t>Total Winning trades</t>
  </si>
  <si>
    <t>Total Losing trades</t>
  </si>
  <si>
    <t>EXPENSES</t>
  </si>
  <si>
    <t>Avg. Executions per trade</t>
  </si>
  <si>
    <t>Total executions per week</t>
  </si>
  <si>
    <t>Total  cost per week</t>
  </si>
  <si>
    <t>Executions per day</t>
  </si>
  <si>
    <t>Platform Cost</t>
  </si>
  <si>
    <t>Internet</t>
  </si>
  <si>
    <t>Net Profit</t>
  </si>
  <si>
    <t>ROC Daily</t>
  </si>
  <si>
    <t>Total Expenses</t>
  </si>
  <si>
    <t>ROC Annually</t>
  </si>
  <si>
    <t>Income Taxes</t>
  </si>
  <si>
    <t>Other Expenses</t>
  </si>
  <si>
    <t>Daily Basis</t>
  </si>
  <si>
    <t>Trading Days</t>
  </si>
  <si>
    <t>Trades per day</t>
  </si>
  <si>
    <t>Other</t>
  </si>
  <si>
    <t>Total</t>
  </si>
  <si>
    <t>Gross Daily Profit</t>
  </si>
  <si>
    <t>note 1</t>
  </si>
  <si>
    <t>Projected Revenue</t>
  </si>
  <si>
    <t>Risk Value</t>
  </si>
  <si>
    <t>Avg. Cost per Execution</t>
  </si>
  <si>
    <t>Computer Hardware Upgrade</t>
  </si>
  <si>
    <t xml:space="preserve">Office </t>
  </si>
  <si>
    <t>REVENUE</t>
  </si>
  <si>
    <t>NET REVENUE</t>
  </si>
  <si>
    <t>Net Revenue</t>
  </si>
  <si>
    <t>Commissions</t>
  </si>
  <si>
    <t>Commission cost (8.8 plays)</t>
  </si>
  <si>
    <t>ROC  &amp; Net Daily P&amp;L</t>
  </si>
  <si>
    <t>Account Balance</t>
  </si>
  <si>
    <t>Level</t>
  </si>
  <si>
    <t>Calendar
Months</t>
  </si>
  <si>
    <t>Net
Monthly</t>
  </si>
  <si>
    <t>Net
Weekly</t>
  </si>
  <si>
    <t>Gross
Weekly</t>
  </si>
  <si>
    <t>Current Level</t>
  </si>
  <si>
    <t>Expenses</t>
  </si>
  <si>
    <t>Goal</t>
  </si>
  <si>
    <t>Net
Annual</t>
  </si>
  <si>
    <t>Daily Loss Limit</t>
  </si>
  <si>
    <t># Months to Advance</t>
  </si>
  <si>
    <t>Gross Weekly Target</t>
  </si>
  <si>
    <t>Gross        Annual       Target</t>
  </si>
  <si>
    <t>R $ 
Value</t>
  </si>
  <si>
    <r>
      <t>Other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8"/>
        <color rgb="FFFF0000"/>
        <rFont val="Calibri"/>
        <family val="2"/>
        <scheme val="minor"/>
      </rPr>
      <t>(see note 1)</t>
    </r>
  </si>
  <si>
    <t>Gross Weekly Profit</t>
  </si>
  <si>
    <t>Metrics</t>
  </si>
  <si>
    <t>Achieving 25%</t>
  </si>
  <si>
    <t>Achieving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</si>
</sst>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Tahoma"/>
      <charset val="1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0" fontId="0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" fillId="3" borderId="12" xfId="0" applyFont="1" applyFill="1" applyBorder="1" applyAlignment="1">
      <alignment horizontal="right" vertical="center"/>
    </xf>
    <xf numFmtId="0" fontId="0" fillId="0" borderId="13" xfId="0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164" fontId="0" fillId="0" borderId="16" xfId="0" applyNumberFormat="1" applyFont="1" applyBorder="1" applyAlignment="1">
      <alignment vertical="center"/>
    </xf>
    <xf numFmtId="164" fontId="0" fillId="0" borderId="14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0" fontId="2" fillId="4" borderId="9" xfId="0" applyFont="1" applyFill="1" applyBorder="1" applyAlignment="1"/>
    <xf numFmtId="0" fontId="8" fillId="0" borderId="11" xfId="0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0" borderId="22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12" fillId="3" borderId="14" xfId="0" applyNumberFormat="1" applyFont="1" applyFill="1" applyBorder="1" applyAlignment="1">
      <alignment horizontal="center" vertical="center"/>
    </xf>
    <xf numFmtId="9" fontId="12" fillId="3" borderId="14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vertical="center"/>
    </xf>
    <xf numFmtId="164" fontId="6" fillId="3" borderId="12" xfId="0" applyNumberFormat="1" applyFont="1" applyFill="1" applyBorder="1" applyAlignment="1">
      <alignment vertical="center"/>
    </xf>
    <xf numFmtId="164" fontId="13" fillId="3" borderId="12" xfId="0" applyNumberFormat="1" applyFont="1" applyFill="1" applyBorder="1" applyAlignment="1">
      <alignment vertical="center"/>
    </xf>
    <xf numFmtId="164" fontId="14" fillId="0" borderId="12" xfId="0" applyNumberFormat="1" applyFont="1" applyBorder="1" applyAlignment="1">
      <alignment horizontal="right" vertical="center"/>
    </xf>
    <xf numFmtId="164" fontId="6" fillId="3" borderId="22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6" fontId="6" fillId="4" borderId="33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2" applyNumberFormat="1" applyFont="1" applyFill="1" applyBorder="1" applyAlignment="1">
      <alignment horizontal="center" vertical="center"/>
    </xf>
    <xf numFmtId="167" fontId="0" fillId="3" borderId="0" xfId="0" applyNumberForma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65" fontId="0" fillId="7" borderId="0" xfId="2" applyNumberFormat="1" applyFont="1" applyFill="1" applyBorder="1" applyAlignment="1">
      <alignment vertical="center"/>
    </xf>
    <xf numFmtId="165" fontId="0" fillId="7" borderId="0" xfId="2" applyNumberFormat="1" applyFont="1" applyFill="1" applyBorder="1" applyAlignment="1">
      <alignment horizontal="center" vertical="center"/>
    </xf>
    <xf numFmtId="165" fontId="0" fillId="7" borderId="12" xfId="2" applyNumberFormat="1" applyFont="1" applyFill="1" applyBorder="1" applyAlignment="1">
      <alignment horizontal="center" vertical="center"/>
    </xf>
    <xf numFmtId="165" fontId="0" fillId="7" borderId="21" xfId="2" applyNumberFormat="1" applyFont="1" applyFill="1" applyBorder="1" applyAlignment="1">
      <alignment vertical="center"/>
    </xf>
    <xf numFmtId="165" fontId="0" fillId="7" borderId="21" xfId="2" applyNumberFormat="1" applyFont="1" applyFill="1" applyBorder="1" applyAlignment="1">
      <alignment horizontal="center" vertical="center"/>
    </xf>
    <xf numFmtId="165" fontId="0" fillId="7" borderId="22" xfId="2" applyNumberFormat="1" applyFont="1" applyFill="1" applyBorder="1" applyAlignment="1">
      <alignment horizontal="center" vertical="center"/>
    </xf>
    <xf numFmtId="165" fontId="0" fillId="8" borderId="11" xfId="2" applyNumberFormat="1" applyFont="1" applyFill="1" applyBorder="1" applyAlignment="1">
      <alignment horizontal="center" vertical="center"/>
    </xf>
    <xf numFmtId="165" fontId="0" fillId="8" borderId="20" xfId="2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7" borderId="11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 wrapText="1"/>
    </xf>
    <xf numFmtId="6" fontId="18" fillId="8" borderId="12" xfId="0" applyNumberFormat="1" applyFont="1" applyFill="1" applyBorder="1" applyAlignment="1">
      <alignment horizontal="center" vertical="center" wrapText="1"/>
    </xf>
    <xf numFmtId="6" fontId="18" fillId="3" borderId="0" xfId="0" applyNumberFormat="1" applyFont="1" applyFill="1" applyBorder="1" applyAlignment="1">
      <alignment horizontal="center" vertical="center" wrapText="1"/>
    </xf>
    <xf numFmtId="6" fontId="18" fillId="6" borderId="11" xfId="0" applyNumberFormat="1" applyFont="1" applyFill="1" applyBorder="1" applyAlignment="1">
      <alignment horizontal="center" vertical="center" wrapText="1"/>
    </xf>
    <xf numFmtId="6" fontId="18" fillId="6" borderId="12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164" fontId="0" fillId="3" borderId="16" xfId="0" applyNumberFormat="1" applyFont="1" applyFill="1" applyBorder="1" applyAlignment="1">
      <alignment horizontal="center" vertical="center"/>
    </xf>
    <xf numFmtId="17" fontId="0" fillId="7" borderId="11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164" fontId="0" fillId="0" borderId="1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0" fontId="0" fillId="0" borderId="20" xfId="0" applyFont="1" applyFill="1" applyBorder="1" applyAlignment="1">
      <alignment vertical="center"/>
    </xf>
    <xf numFmtId="164" fontId="0" fillId="0" borderId="22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2" fontId="0" fillId="0" borderId="16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7" fontId="0" fillId="7" borderId="20" xfId="0" applyNumberFormat="1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 wrapText="1"/>
    </xf>
    <xf numFmtId="6" fontId="18" fillId="8" borderId="22" xfId="0" applyNumberFormat="1" applyFont="1" applyFill="1" applyBorder="1" applyAlignment="1">
      <alignment horizontal="center" vertical="center" wrapText="1"/>
    </xf>
    <xf numFmtId="6" fontId="18" fillId="6" borderId="20" xfId="0" applyNumberFormat="1" applyFont="1" applyFill="1" applyBorder="1" applyAlignment="1">
      <alignment horizontal="center" vertical="center" wrapText="1"/>
    </xf>
    <xf numFmtId="6" fontId="18" fillId="6" borderId="22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vertical="center"/>
    </xf>
    <xf numFmtId="165" fontId="0" fillId="0" borderId="0" xfId="2" applyNumberFormat="1" applyFont="1" applyFill="1" applyBorder="1" applyAlignment="1">
      <alignment vertical="center"/>
    </xf>
    <xf numFmtId="165" fontId="0" fillId="0" borderId="0" xfId="2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6" fontId="18" fillId="0" borderId="0" xfId="0" applyNumberFormat="1" applyFont="1" applyFill="1" applyBorder="1" applyAlignment="1">
      <alignment horizontal="center" vertical="center" wrapText="1"/>
    </xf>
    <xf numFmtId="17" fontId="0" fillId="0" borderId="0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17</xdr:row>
      <xdr:rowOff>0</xdr:rowOff>
    </xdr:from>
    <xdr:to>
      <xdr:col>9</xdr:col>
      <xdr:colOff>82826</xdr:colOff>
      <xdr:row>20</xdr:row>
      <xdr:rowOff>107674</xdr:rowOff>
    </xdr:to>
    <xdr:sp macro="" textlink="">
      <xdr:nvSpPr>
        <xdr:cNvPr id="2" name="TextBox 1"/>
        <xdr:cNvSpPr txBox="1"/>
      </xdr:nvSpPr>
      <xdr:spPr>
        <a:xfrm>
          <a:off x="6162262" y="5068957"/>
          <a:ext cx="1581977" cy="969065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 b="0" i="1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Model Assumptions</a:t>
          </a:r>
          <a:r>
            <a:rPr lang="en-US" sz="1100" b="0" i="1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en-US" sz="1100" b="0" i="1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 = $200</a:t>
          </a:r>
        </a:p>
        <a:p>
          <a:r>
            <a:rPr lang="en-US" sz="1100" b="0" i="1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 = 58%</a:t>
          </a:r>
        </a:p>
        <a:p>
          <a:r>
            <a:rPr lang="en-US" sz="1100" b="0" i="1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Sharpe Ratio = 1.55</a:t>
          </a:r>
        </a:p>
        <a:p>
          <a:r>
            <a:rPr lang="en-US" sz="1100" b="0" i="1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Avg. # of trades/day =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5"/>
  <sheetViews>
    <sheetView showGridLines="0" tabSelected="1" zoomScale="115" zoomScaleNormal="115" workbookViewId="0">
      <selection activeCell="I32" sqref="I32"/>
    </sheetView>
  </sheetViews>
  <sheetFormatPr defaultRowHeight="15" x14ac:dyDescent="0.25"/>
  <cols>
    <col min="1" max="1" width="7" style="1" customWidth="1"/>
    <col min="2" max="2" width="24.42578125" style="1" customWidth="1"/>
    <col min="3" max="3" width="16" style="1" customWidth="1"/>
    <col min="4" max="4" width="2.5703125" style="1" customWidth="1"/>
    <col min="5" max="5" width="25.42578125" style="1" customWidth="1"/>
    <col min="6" max="6" width="14.28515625" style="1" customWidth="1"/>
    <col min="7" max="7" width="2.5703125" style="1" customWidth="1"/>
    <col min="8" max="8" width="13.28515625" style="1" bestFit="1" customWidth="1"/>
    <col min="9" max="9" width="9.140625" style="1"/>
    <col min="10" max="10" width="9.5703125" style="1" bestFit="1" customWidth="1"/>
    <col min="11" max="14" width="9.140625" style="1"/>
    <col min="15" max="15" width="2.5703125" style="47" customWidth="1"/>
    <col min="16" max="16" width="9.28515625" style="1" customWidth="1"/>
    <col min="17" max="17" width="6" style="1" bestFit="1" customWidth="1"/>
    <col min="18" max="18" width="11.28515625" style="1" bestFit="1" customWidth="1"/>
    <col min="19" max="19" width="2.5703125" style="47" customWidth="1"/>
    <col min="20" max="20" width="12.7109375" style="1" bestFit="1" customWidth="1"/>
    <col min="21" max="21" width="15" style="1" bestFit="1" customWidth="1"/>
    <col min="22" max="22" width="2.7109375" style="1" customWidth="1"/>
    <col min="23" max="23" width="12.28515625" style="1" bestFit="1" customWidth="1"/>
    <col min="24" max="24" width="13.42578125" style="1" bestFit="1" customWidth="1"/>
    <col min="25" max="25" width="11.140625" style="1" bestFit="1" customWidth="1"/>
    <col min="26" max="16384" width="9.140625" style="1"/>
  </cols>
  <sheetData>
    <row r="1" spans="2:25" ht="33.75" customHeight="1" thickBot="1" x14ac:dyDescent="0.35">
      <c r="B1" s="132" t="s">
        <v>0</v>
      </c>
      <c r="C1" s="132"/>
      <c r="D1" s="132"/>
      <c r="E1" s="132"/>
      <c r="F1" s="132"/>
      <c r="G1" s="61"/>
      <c r="H1" s="99"/>
      <c r="I1" s="98"/>
      <c r="J1" s="98"/>
      <c r="K1" s="61"/>
      <c r="L1" s="61"/>
      <c r="M1" s="61"/>
      <c r="N1" s="61"/>
      <c r="O1" s="62"/>
      <c r="P1" s="61"/>
      <c r="Q1" s="61"/>
      <c r="R1" s="61"/>
      <c r="S1" s="62"/>
      <c r="T1" s="61"/>
      <c r="U1" s="61"/>
    </row>
    <row r="2" spans="2:25" ht="25.5" customHeight="1" thickBot="1" x14ac:dyDescent="0.35">
      <c r="B2" s="111" t="s">
        <v>36</v>
      </c>
      <c r="C2" s="112"/>
      <c r="D2" s="63"/>
      <c r="E2" s="35" t="s">
        <v>32</v>
      </c>
      <c r="F2" s="45">
        <v>200</v>
      </c>
      <c r="G2" s="61"/>
      <c r="H2" s="153" t="s">
        <v>50</v>
      </c>
      <c r="I2" s="154"/>
      <c r="J2" s="154"/>
      <c r="K2" s="154"/>
      <c r="L2" s="154"/>
      <c r="M2" s="154"/>
      <c r="N2" s="155"/>
      <c r="P2" s="153" t="s">
        <v>59</v>
      </c>
      <c r="Q2" s="154"/>
      <c r="R2" s="155"/>
      <c r="S2" s="50"/>
      <c r="T2" s="160" t="s">
        <v>60</v>
      </c>
      <c r="U2" s="161"/>
      <c r="W2" s="162" t="s">
        <v>61</v>
      </c>
      <c r="X2" s="163"/>
    </row>
    <row r="3" spans="2:25" ht="21" customHeight="1" thickTop="1" x14ac:dyDescent="0.25">
      <c r="B3" s="32" t="s">
        <v>31</v>
      </c>
      <c r="C3" s="33">
        <f>F8*F3</f>
        <v>48091.600000000006</v>
      </c>
      <c r="D3" s="63"/>
      <c r="E3" s="7" t="s">
        <v>1</v>
      </c>
      <c r="F3" s="34">
        <f>251/5</f>
        <v>50.2</v>
      </c>
      <c r="G3" s="61"/>
      <c r="H3" s="133" t="s">
        <v>44</v>
      </c>
      <c r="I3" s="149" t="s">
        <v>53</v>
      </c>
      <c r="J3" s="149" t="s">
        <v>51</v>
      </c>
      <c r="K3" s="149" t="s">
        <v>45</v>
      </c>
      <c r="L3" s="149" t="s">
        <v>46</v>
      </c>
      <c r="M3" s="149" t="s">
        <v>49</v>
      </c>
      <c r="N3" s="151" t="s">
        <v>47</v>
      </c>
      <c r="P3" s="133" t="s">
        <v>56</v>
      </c>
      <c r="Q3" s="156" t="s">
        <v>43</v>
      </c>
      <c r="R3" s="158" t="s">
        <v>52</v>
      </c>
      <c r="S3" s="60"/>
      <c r="T3" s="164" t="s">
        <v>54</v>
      </c>
      <c r="U3" s="158" t="s">
        <v>55</v>
      </c>
      <c r="W3" s="164" t="s">
        <v>54</v>
      </c>
      <c r="X3" s="158" t="s">
        <v>55</v>
      </c>
    </row>
    <row r="4" spans="2:25" ht="22.5" customHeight="1" thickBot="1" x14ac:dyDescent="0.3">
      <c r="B4" s="9" t="s">
        <v>2</v>
      </c>
      <c r="C4" s="37">
        <v>0.57999999999999996</v>
      </c>
      <c r="D4" s="63"/>
      <c r="E4" s="64" t="s">
        <v>3</v>
      </c>
      <c r="F4" s="36">
        <f>(C8/C6)/(C9/C7)</f>
        <v>1.55</v>
      </c>
      <c r="G4" s="61"/>
      <c r="H4" s="134"/>
      <c r="I4" s="150"/>
      <c r="J4" s="150"/>
      <c r="K4" s="150"/>
      <c r="L4" s="150"/>
      <c r="M4" s="150"/>
      <c r="N4" s="152"/>
      <c r="P4" s="134"/>
      <c r="Q4" s="157"/>
      <c r="R4" s="159"/>
      <c r="S4" s="60"/>
      <c r="T4" s="165"/>
      <c r="U4" s="159"/>
      <c r="W4" s="165"/>
      <c r="X4" s="159"/>
      <c r="Y4" s="44"/>
    </row>
    <row r="5" spans="2:25" s="2" customFormat="1" ht="21.75" customHeight="1" thickTop="1" x14ac:dyDescent="0.25">
      <c r="B5" s="109" t="s">
        <v>4</v>
      </c>
      <c r="C5" s="110"/>
      <c r="D5" s="6"/>
      <c r="E5" s="107">
        <v>10</v>
      </c>
      <c r="F5" s="108"/>
      <c r="H5" s="65" t="s">
        <v>48</v>
      </c>
      <c r="I5" s="66">
        <v>0</v>
      </c>
      <c r="J5" s="51">
        <f t="shared" ref="J5:J16" si="0">+K5*12</f>
        <v>33907.505976095621</v>
      </c>
      <c r="K5" s="52">
        <f t="shared" ref="K5:K16" si="1">+L5*4</f>
        <v>2825.6254980079684</v>
      </c>
      <c r="L5" s="52">
        <f t="shared" ref="L5:L16" si="2">+N5-M5</f>
        <v>706.4063745019921</v>
      </c>
      <c r="M5" s="52">
        <f t="shared" ref="M5:M16" si="3">+N5*($C$16/$C$3)</f>
        <v>251.59362549800792</v>
      </c>
      <c r="N5" s="53">
        <f t="shared" ref="N5:N16" si="4">+P5*($F$8/$F$2)</f>
        <v>958</v>
      </c>
      <c r="P5" s="57">
        <f>+$F$2</f>
        <v>200</v>
      </c>
      <c r="Q5" s="67">
        <v>1</v>
      </c>
      <c r="R5" s="68">
        <f>+$P$5*6</f>
        <v>1200</v>
      </c>
      <c r="S5" s="69"/>
      <c r="T5" s="70">
        <f t="shared" ref="T5:T16" si="5">+N5*0.25</f>
        <v>239.5</v>
      </c>
      <c r="U5" s="71">
        <f t="shared" ref="U5:U16" si="6">+T5*$F$3</f>
        <v>12022.900000000001</v>
      </c>
      <c r="W5" s="70">
        <f t="shared" ref="W5:W16" si="7">N5*0.5</f>
        <v>479</v>
      </c>
      <c r="X5" s="71">
        <f t="shared" ref="X5:X16" si="8">+W5*$F$3</f>
        <v>24045.800000000003</v>
      </c>
      <c r="Y5" s="44"/>
    </row>
    <row r="6" spans="2:25" ht="21.75" customHeight="1" x14ac:dyDescent="0.25">
      <c r="B6" s="72" t="s">
        <v>5</v>
      </c>
      <c r="C6" s="73">
        <f>E5*C4</f>
        <v>5.8</v>
      </c>
      <c r="D6" s="63"/>
      <c r="E6" s="11" t="s">
        <v>6</v>
      </c>
      <c r="F6" s="74">
        <f>+F7*1.55</f>
        <v>310</v>
      </c>
      <c r="G6" s="61"/>
      <c r="H6" s="75">
        <v>41214</v>
      </c>
      <c r="I6" s="66">
        <v>1</v>
      </c>
      <c r="J6" s="51">
        <f t="shared" si="0"/>
        <v>33907.505976095621</v>
      </c>
      <c r="K6" s="52">
        <f t="shared" si="1"/>
        <v>2825.6254980079684</v>
      </c>
      <c r="L6" s="52">
        <f t="shared" si="2"/>
        <v>706.4063745019921</v>
      </c>
      <c r="M6" s="52">
        <f t="shared" si="3"/>
        <v>251.59362549800792</v>
      </c>
      <c r="N6" s="53">
        <f t="shared" si="4"/>
        <v>958</v>
      </c>
      <c r="P6" s="57">
        <f>+$F$2</f>
        <v>200</v>
      </c>
      <c r="Q6" s="67">
        <v>2</v>
      </c>
      <c r="R6" s="68">
        <f>+$P$6*6</f>
        <v>1200</v>
      </c>
      <c r="S6" s="69"/>
      <c r="T6" s="70">
        <f t="shared" si="5"/>
        <v>239.5</v>
      </c>
      <c r="U6" s="71">
        <f t="shared" si="6"/>
        <v>12022.900000000001</v>
      </c>
      <c r="W6" s="70">
        <f t="shared" si="7"/>
        <v>479</v>
      </c>
      <c r="X6" s="71">
        <f t="shared" si="8"/>
        <v>24045.800000000003</v>
      </c>
      <c r="Y6" s="44"/>
    </row>
    <row r="7" spans="2:25" ht="21.75" customHeight="1" x14ac:dyDescent="0.25">
      <c r="B7" s="76" t="s">
        <v>7</v>
      </c>
      <c r="C7" s="77">
        <f>E5-C6</f>
        <v>4.2</v>
      </c>
      <c r="D7" s="63"/>
      <c r="E7" s="7" t="s">
        <v>8</v>
      </c>
      <c r="F7" s="78">
        <f>F2</f>
        <v>200</v>
      </c>
      <c r="G7" s="61"/>
      <c r="H7" s="75">
        <v>41244</v>
      </c>
      <c r="I7" s="66">
        <v>2</v>
      </c>
      <c r="J7" s="51">
        <f t="shared" si="0"/>
        <v>33907.505976095621</v>
      </c>
      <c r="K7" s="52">
        <f t="shared" si="1"/>
        <v>2825.6254980079684</v>
      </c>
      <c r="L7" s="52">
        <f t="shared" si="2"/>
        <v>706.4063745019921</v>
      </c>
      <c r="M7" s="52">
        <f t="shared" si="3"/>
        <v>251.59362549800792</v>
      </c>
      <c r="N7" s="53">
        <f t="shared" si="4"/>
        <v>958</v>
      </c>
      <c r="P7" s="57">
        <f>$P$6</f>
        <v>200</v>
      </c>
      <c r="Q7" s="67">
        <v>3</v>
      </c>
      <c r="R7" s="68">
        <f>+$P$7*6</f>
        <v>1200</v>
      </c>
      <c r="S7" s="69"/>
      <c r="T7" s="70">
        <f t="shared" si="5"/>
        <v>239.5</v>
      </c>
      <c r="U7" s="71">
        <f t="shared" si="6"/>
        <v>12022.900000000001</v>
      </c>
      <c r="W7" s="70">
        <f t="shared" si="7"/>
        <v>479</v>
      </c>
      <c r="X7" s="71">
        <f t="shared" si="8"/>
        <v>24045.800000000003</v>
      </c>
      <c r="Y7" s="44"/>
    </row>
    <row r="8" spans="2:25" ht="23.25" customHeight="1" x14ac:dyDescent="0.25">
      <c r="B8" s="79" t="s">
        <v>9</v>
      </c>
      <c r="C8" s="80">
        <f>C6*F6</f>
        <v>1798</v>
      </c>
      <c r="D8" s="63"/>
      <c r="E8" s="113" t="s">
        <v>58</v>
      </c>
      <c r="F8" s="115">
        <f>C8-C9</f>
        <v>958</v>
      </c>
      <c r="G8" s="81"/>
      <c r="H8" s="75">
        <v>41275</v>
      </c>
      <c r="I8" s="66">
        <v>3</v>
      </c>
      <c r="J8" s="51">
        <f t="shared" si="0"/>
        <v>37298.256573705192</v>
      </c>
      <c r="K8" s="52">
        <f t="shared" si="1"/>
        <v>3108.188047808766</v>
      </c>
      <c r="L8" s="52">
        <f t="shared" si="2"/>
        <v>777.0470119521915</v>
      </c>
      <c r="M8" s="52">
        <f t="shared" si="3"/>
        <v>276.75298804780874</v>
      </c>
      <c r="N8" s="53">
        <f t="shared" si="4"/>
        <v>1053.8000000000002</v>
      </c>
      <c r="P8" s="57">
        <f>+$P$7*1.1</f>
        <v>220.00000000000003</v>
      </c>
      <c r="Q8" s="67">
        <v>4</v>
      </c>
      <c r="R8" s="68">
        <f>+$P$8*6</f>
        <v>1320.0000000000002</v>
      </c>
      <c r="S8" s="69"/>
      <c r="T8" s="70">
        <f t="shared" si="5"/>
        <v>263.45000000000005</v>
      </c>
      <c r="U8" s="71">
        <f t="shared" si="6"/>
        <v>13225.190000000002</v>
      </c>
      <c r="W8" s="70">
        <f t="shared" si="7"/>
        <v>526.90000000000009</v>
      </c>
      <c r="X8" s="71">
        <f t="shared" si="8"/>
        <v>26450.380000000005</v>
      </c>
      <c r="Y8" s="44"/>
    </row>
    <row r="9" spans="2:25" ht="23.25" customHeight="1" thickBot="1" x14ac:dyDescent="0.3">
      <c r="B9" s="82" t="s">
        <v>10</v>
      </c>
      <c r="C9" s="83">
        <f>C7*F7</f>
        <v>840</v>
      </c>
      <c r="D9" s="63"/>
      <c r="E9" s="114"/>
      <c r="F9" s="116"/>
      <c r="G9" s="61"/>
      <c r="H9" s="75">
        <v>41306</v>
      </c>
      <c r="I9" s="66">
        <v>4</v>
      </c>
      <c r="J9" s="51">
        <f t="shared" si="0"/>
        <v>37298.256573705192</v>
      </c>
      <c r="K9" s="52">
        <f t="shared" si="1"/>
        <v>3108.188047808766</v>
      </c>
      <c r="L9" s="52">
        <f t="shared" si="2"/>
        <v>777.0470119521915</v>
      </c>
      <c r="M9" s="52">
        <f t="shared" si="3"/>
        <v>276.75298804780874</v>
      </c>
      <c r="N9" s="53">
        <f t="shared" si="4"/>
        <v>1053.8000000000002</v>
      </c>
      <c r="P9" s="57">
        <f>$P$8</f>
        <v>220.00000000000003</v>
      </c>
      <c r="Q9" s="67">
        <v>5</v>
      </c>
      <c r="R9" s="68">
        <f>+$P$9*6</f>
        <v>1320.0000000000002</v>
      </c>
      <c r="S9" s="69"/>
      <c r="T9" s="70">
        <f t="shared" si="5"/>
        <v>263.45000000000005</v>
      </c>
      <c r="U9" s="71">
        <f t="shared" si="6"/>
        <v>13225.190000000002</v>
      </c>
      <c r="W9" s="70">
        <f t="shared" si="7"/>
        <v>526.90000000000009</v>
      </c>
      <c r="X9" s="71">
        <f t="shared" si="8"/>
        <v>26450.380000000005</v>
      </c>
      <c r="Y9" s="44"/>
    </row>
    <row r="10" spans="2:25" ht="23.25" customHeight="1" x14ac:dyDescent="0.25">
      <c r="B10" s="61"/>
      <c r="C10" s="61"/>
      <c r="D10" s="61"/>
      <c r="E10" s="61"/>
      <c r="F10" s="61"/>
      <c r="G10" s="61"/>
      <c r="H10" s="75">
        <v>41334</v>
      </c>
      <c r="I10" s="66">
        <v>5</v>
      </c>
      <c r="J10" s="51">
        <f t="shared" si="0"/>
        <v>37298.256573705192</v>
      </c>
      <c r="K10" s="52">
        <f t="shared" si="1"/>
        <v>3108.188047808766</v>
      </c>
      <c r="L10" s="52">
        <f t="shared" si="2"/>
        <v>777.0470119521915</v>
      </c>
      <c r="M10" s="52">
        <f t="shared" si="3"/>
        <v>276.75298804780874</v>
      </c>
      <c r="N10" s="53">
        <f t="shared" si="4"/>
        <v>1053.8000000000002</v>
      </c>
      <c r="P10" s="57">
        <f>$P$9</f>
        <v>220.00000000000003</v>
      </c>
      <c r="Q10" s="67">
        <v>6</v>
      </c>
      <c r="R10" s="68">
        <f>+$P$10*6</f>
        <v>1320.0000000000002</v>
      </c>
      <c r="S10" s="69"/>
      <c r="T10" s="70">
        <f t="shared" si="5"/>
        <v>263.45000000000005</v>
      </c>
      <c r="U10" s="71">
        <f t="shared" si="6"/>
        <v>13225.190000000002</v>
      </c>
      <c r="W10" s="70">
        <f t="shared" si="7"/>
        <v>526.90000000000009</v>
      </c>
      <c r="X10" s="71">
        <f t="shared" si="8"/>
        <v>26450.380000000005</v>
      </c>
      <c r="Y10" s="44"/>
    </row>
    <row r="11" spans="2:25" ht="23.25" customHeight="1" thickBot="1" x14ac:dyDescent="0.35">
      <c r="B11" s="106" t="s">
        <v>11</v>
      </c>
      <c r="C11" s="106"/>
      <c r="D11" s="106"/>
      <c r="E11" s="106"/>
      <c r="F11" s="106"/>
      <c r="G11" s="61"/>
      <c r="H11" s="75">
        <v>41365</v>
      </c>
      <c r="I11" s="66">
        <v>6</v>
      </c>
      <c r="J11" s="51">
        <f t="shared" si="0"/>
        <v>41028.082231075707</v>
      </c>
      <c r="K11" s="52">
        <f t="shared" si="1"/>
        <v>3419.0068525896422</v>
      </c>
      <c r="L11" s="52">
        <f t="shared" si="2"/>
        <v>854.75171314741056</v>
      </c>
      <c r="M11" s="52">
        <f t="shared" si="3"/>
        <v>304.42828685258968</v>
      </c>
      <c r="N11" s="53">
        <f t="shared" si="4"/>
        <v>1159.1800000000003</v>
      </c>
      <c r="O11" s="50"/>
      <c r="P11" s="57">
        <f>+$P$10*1.1</f>
        <v>242.00000000000006</v>
      </c>
      <c r="Q11" s="67">
        <v>7</v>
      </c>
      <c r="R11" s="68">
        <f>+$P$11*6</f>
        <v>1452.0000000000005</v>
      </c>
      <c r="S11" s="69"/>
      <c r="T11" s="70">
        <f t="shared" si="5"/>
        <v>289.79500000000007</v>
      </c>
      <c r="U11" s="71">
        <f t="shared" si="6"/>
        <v>14547.709000000004</v>
      </c>
      <c r="W11" s="70">
        <f t="shared" si="7"/>
        <v>579.59000000000015</v>
      </c>
      <c r="X11" s="71">
        <f t="shared" si="8"/>
        <v>29095.418000000009</v>
      </c>
      <c r="Y11" s="44"/>
    </row>
    <row r="12" spans="2:25" ht="22.5" customHeight="1" thickTop="1" x14ac:dyDescent="0.25">
      <c r="B12" s="24" t="s">
        <v>39</v>
      </c>
      <c r="C12" s="41">
        <f>F14*F3</f>
        <v>7530</v>
      </c>
      <c r="D12" s="63"/>
      <c r="E12" s="7"/>
      <c r="F12" s="84"/>
      <c r="G12" s="61"/>
      <c r="H12" s="75">
        <v>41395</v>
      </c>
      <c r="I12" s="66">
        <v>7</v>
      </c>
      <c r="J12" s="51">
        <f t="shared" si="0"/>
        <v>41028.082231075707</v>
      </c>
      <c r="K12" s="52">
        <f t="shared" si="1"/>
        <v>3419.0068525896422</v>
      </c>
      <c r="L12" s="52">
        <f t="shared" si="2"/>
        <v>854.75171314741056</v>
      </c>
      <c r="M12" s="52">
        <f t="shared" si="3"/>
        <v>304.42828685258968</v>
      </c>
      <c r="N12" s="53">
        <f t="shared" si="4"/>
        <v>1159.1800000000003</v>
      </c>
      <c r="O12" s="59"/>
      <c r="P12" s="57">
        <f>$P$11</f>
        <v>242.00000000000006</v>
      </c>
      <c r="Q12" s="67">
        <v>8</v>
      </c>
      <c r="R12" s="68">
        <f>+$P$12*6</f>
        <v>1452.0000000000005</v>
      </c>
      <c r="S12" s="69"/>
      <c r="T12" s="70">
        <f t="shared" si="5"/>
        <v>289.79500000000007</v>
      </c>
      <c r="U12" s="71">
        <f t="shared" si="6"/>
        <v>14547.709000000004</v>
      </c>
      <c r="W12" s="70">
        <f t="shared" si="7"/>
        <v>579.59000000000015</v>
      </c>
      <c r="X12" s="71">
        <f t="shared" si="8"/>
        <v>29095.418000000009</v>
      </c>
      <c r="Y12" s="44"/>
    </row>
    <row r="13" spans="2:25" ht="22.5" customHeight="1" x14ac:dyDescent="0.25">
      <c r="B13" s="27" t="s">
        <v>16</v>
      </c>
      <c r="C13" s="38">
        <v>1200</v>
      </c>
      <c r="D13" s="63"/>
      <c r="E13" s="11" t="s">
        <v>13</v>
      </c>
      <c r="F13" s="85">
        <f>F15*E5</f>
        <v>30</v>
      </c>
      <c r="G13" s="61"/>
      <c r="H13" s="75">
        <v>41426</v>
      </c>
      <c r="I13" s="66">
        <v>8</v>
      </c>
      <c r="J13" s="51">
        <f t="shared" si="0"/>
        <v>41028.082231075707</v>
      </c>
      <c r="K13" s="52">
        <f t="shared" si="1"/>
        <v>3419.0068525896422</v>
      </c>
      <c r="L13" s="52">
        <f t="shared" si="2"/>
        <v>854.75171314741056</v>
      </c>
      <c r="M13" s="52">
        <f t="shared" si="3"/>
        <v>304.42828685258968</v>
      </c>
      <c r="N13" s="53">
        <f t="shared" si="4"/>
        <v>1159.1800000000003</v>
      </c>
      <c r="O13" s="59"/>
      <c r="P13" s="57">
        <f>$P$12</f>
        <v>242.00000000000006</v>
      </c>
      <c r="Q13" s="67">
        <v>9</v>
      </c>
      <c r="R13" s="68">
        <f>+$P$13*6</f>
        <v>1452.0000000000005</v>
      </c>
      <c r="S13" s="69"/>
      <c r="T13" s="70">
        <f t="shared" si="5"/>
        <v>289.79500000000007</v>
      </c>
      <c r="U13" s="71">
        <f t="shared" si="6"/>
        <v>14547.709000000004</v>
      </c>
      <c r="W13" s="70">
        <f t="shared" si="7"/>
        <v>579.59000000000015</v>
      </c>
      <c r="X13" s="71">
        <f t="shared" si="8"/>
        <v>29095.418000000009</v>
      </c>
      <c r="Y13" s="44"/>
    </row>
    <row r="14" spans="2:25" ht="22.5" customHeight="1" x14ac:dyDescent="0.25">
      <c r="B14" s="24" t="s">
        <v>17</v>
      </c>
      <c r="C14" s="39">
        <v>1200</v>
      </c>
      <c r="D14" s="63"/>
      <c r="E14" s="26" t="s">
        <v>14</v>
      </c>
      <c r="F14" s="86">
        <f>F16*F13</f>
        <v>150</v>
      </c>
      <c r="G14" s="61"/>
      <c r="H14" s="75">
        <v>41456</v>
      </c>
      <c r="I14" s="66">
        <v>9</v>
      </c>
      <c r="J14" s="51">
        <f t="shared" si="0"/>
        <v>45130.890454183282</v>
      </c>
      <c r="K14" s="52">
        <f t="shared" si="1"/>
        <v>3760.9075378486068</v>
      </c>
      <c r="L14" s="52">
        <f t="shared" si="2"/>
        <v>940.2268844621517</v>
      </c>
      <c r="M14" s="52">
        <f t="shared" si="3"/>
        <v>334.87111553784865</v>
      </c>
      <c r="N14" s="53">
        <f t="shared" si="4"/>
        <v>1275.0980000000004</v>
      </c>
      <c r="O14" s="48"/>
      <c r="P14" s="57">
        <f>+$P$13*1.1</f>
        <v>266.2000000000001</v>
      </c>
      <c r="Q14" s="67">
        <v>10</v>
      </c>
      <c r="R14" s="68">
        <f>+$P$14*6</f>
        <v>1597.2000000000007</v>
      </c>
      <c r="S14" s="69"/>
      <c r="T14" s="70">
        <f t="shared" si="5"/>
        <v>318.7745000000001</v>
      </c>
      <c r="U14" s="71">
        <f t="shared" si="6"/>
        <v>16002.479900000006</v>
      </c>
      <c r="W14" s="70">
        <f t="shared" si="7"/>
        <v>637.54900000000021</v>
      </c>
      <c r="X14" s="71">
        <f t="shared" si="8"/>
        <v>32004.959800000011</v>
      </c>
      <c r="Y14" s="44"/>
    </row>
    <row r="15" spans="2:25" ht="22.5" customHeight="1" x14ac:dyDescent="0.25">
      <c r="B15" s="28" t="s">
        <v>57</v>
      </c>
      <c r="C15" s="29">
        <f>C30</f>
        <v>2700</v>
      </c>
      <c r="D15" s="63"/>
      <c r="E15" s="7" t="s">
        <v>12</v>
      </c>
      <c r="F15" s="43">
        <v>3</v>
      </c>
      <c r="G15" s="61"/>
      <c r="H15" s="75">
        <v>41487</v>
      </c>
      <c r="I15" s="66">
        <v>10</v>
      </c>
      <c r="J15" s="51">
        <f t="shared" si="0"/>
        <v>45130.890454183282</v>
      </c>
      <c r="K15" s="52">
        <f t="shared" si="1"/>
        <v>3760.9075378486068</v>
      </c>
      <c r="L15" s="52">
        <f t="shared" si="2"/>
        <v>940.2268844621517</v>
      </c>
      <c r="M15" s="52">
        <f t="shared" si="3"/>
        <v>334.87111553784865</v>
      </c>
      <c r="N15" s="53">
        <f t="shared" si="4"/>
        <v>1275.0980000000004</v>
      </c>
      <c r="O15" s="48"/>
      <c r="P15" s="57">
        <f>$P$14</f>
        <v>266.2000000000001</v>
      </c>
      <c r="Q15" s="67">
        <v>11</v>
      </c>
      <c r="R15" s="68">
        <f>+$P$15*6</f>
        <v>1597.2000000000007</v>
      </c>
      <c r="S15" s="69"/>
      <c r="T15" s="70">
        <f t="shared" si="5"/>
        <v>318.7745000000001</v>
      </c>
      <c r="U15" s="71">
        <f t="shared" si="6"/>
        <v>16002.479900000006</v>
      </c>
      <c r="W15" s="70">
        <f t="shared" si="7"/>
        <v>637.54900000000021</v>
      </c>
      <c r="X15" s="71">
        <f t="shared" si="8"/>
        <v>32004.959800000011</v>
      </c>
      <c r="Y15" s="44"/>
    </row>
    <row r="16" spans="2:25" ht="22.5" customHeight="1" thickBot="1" x14ac:dyDescent="0.3">
      <c r="B16" s="25" t="s">
        <v>20</v>
      </c>
      <c r="C16" s="30">
        <f>C12+C13+C14+C15</f>
        <v>12630</v>
      </c>
      <c r="D16" s="63"/>
      <c r="E16" s="87" t="s">
        <v>33</v>
      </c>
      <c r="F16" s="42">
        <v>5</v>
      </c>
      <c r="G16" s="61"/>
      <c r="H16" s="88">
        <v>41518</v>
      </c>
      <c r="I16" s="89">
        <v>11</v>
      </c>
      <c r="J16" s="54">
        <f t="shared" si="0"/>
        <v>45130.890454183282</v>
      </c>
      <c r="K16" s="55">
        <f t="shared" si="1"/>
        <v>3760.9075378486068</v>
      </c>
      <c r="L16" s="55">
        <f t="shared" si="2"/>
        <v>940.2268844621517</v>
      </c>
      <c r="M16" s="55">
        <f t="shared" si="3"/>
        <v>334.87111553784865</v>
      </c>
      <c r="N16" s="56">
        <f t="shared" si="4"/>
        <v>1275.0980000000004</v>
      </c>
      <c r="O16" s="48"/>
      <c r="P16" s="58">
        <f>$P$15</f>
        <v>266.2000000000001</v>
      </c>
      <c r="Q16" s="90">
        <v>12</v>
      </c>
      <c r="R16" s="91">
        <f>+$P$16*6</f>
        <v>1597.2000000000007</v>
      </c>
      <c r="S16" s="69"/>
      <c r="T16" s="92">
        <f t="shared" si="5"/>
        <v>318.7745000000001</v>
      </c>
      <c r="U16" s="93">
        <f t="shared" si="6"/>
        <v>16002.479900000006</v>
      </c>
      <c r="W16" s="92">
        <f t="shared" si="7"/>
        <v>637.54900000000021</v>
      </c>
      <c r="X16" s="93">
        <f t="shared" si="8"/>
        <v>32004.959800000011</v>
      </c>
      <c r="Y16" s="44"/>
    </row>
    <row r="17" spans="1:22" ht="23.25" customHeight="1" thickBot="1" x14ac:dyDescent="0.3">
      <c r="B17" s="61"/>
      <c r="C17" s="61"/>
      <c r="D17" s="61"/>
      <c r="E17" s="61"/>
      <c r="F17" s="61"/>
      <c r="G17" s="61"/>
      <c r="O17" s="48"/>
    </row>
    <row r="18" spans="1:22" ht="19.5" customHeight="1" thickBot="1" x14ac:dyDescent="0.3">
      <c r="B18" s="146" t="s">
        <v>37</v>
      </c>
      <c r="C18" s="147"/>
      <c r="D18" s="147"/>
      <c r="E18" s="147"/>
      <c r="F18" s="148"/>
      <c r="G18" s="61"/>
    </row>
    <row r="19" spans="1:22" ht="24" customHeight="1" thickTop="1" x14ac:dyDescent="0.25">
      <c r="B19" s="24" t="s">
        <v>31</v>
      </c>
      <c r="C19" s="3">
        <f>C3</f>
        <v>48091.600000000006</v>
      </c>
      <c r="D19" s="94"/>
      <c r="E19" s="121" t="s">
        <v>38</v>
      </c>
      <c r="F19" s="124">
        <f>C19-C20-C21</f>
        <v>28369.280000000006</v>
      </c>
      <c r="G19" s="61"/>
    </row>
    <row r="20" spans="1:22" ht="24" customHeight="1" x14ac:dyDescent="0.25">
      <c r="B20" s="24" t="s">
        <v>20</v>
      </c>
      <c r="C20" s="3">
        <f>C16</f>
        <v>12630</v>
      </c>
      <c r="D20" s="5"/>
      <c r="E20" s="122"/>
      <c r="F20" s="125"/>
      <c r="G20" s="61"/>
    </row>
    <row r="21" spans="1:22" ht="24" customHeight="1" thickBot="1" x14ac:dyDescent="0.3">
      <c r="B21" s="25" t="s">
        <v>22</v>
      </c>
      <c r="C21" s="31">
        <f>(C19-C20)*0.2</f>
        <v>7092.3200000000015</v>
      </c>
      <c r="D21" s="63"/>
      <c r="E21" s="123"/>
      <c r="F21" s="126"/>
      <c r="G21" s="61"/>
    </row>
    <row r="22" spans="1:22" ht="18" customHeight="1" thickBot="1" x14ac:dyDescent="0.3">
      <c r="B22" s="61"/>
      <c r="C22" s="61"/>
      <c r="D22" s="61"/>
      <c r="E22" s="61"/>
      <c r="F22" s="61"/>
      <c r="G22" s="61"/>
    </row>
    <row r="23" spans="1:22" ht="18.75" customHeight="1" thickBot="1" x14ac:dyDescent="0.3">
      <c r="A23" s="4" t="s">
        <v>30</v>
      </c>
      <c r="B23" s="17" t="s">
        <v>23</v>
      </c>
      <c r="C23" s="95"/>
      <c r="D23" s="61"/>
      <c r="E23" s="127" t="s">
        <v>24</v>
      </c>
      <c r="F23" s="128"/>
      <c r="G23" s="61"/>
    </row>
    <row r="24" spans="1:22" ht="18.75" customHeight="1" thickTop="1" x14ac:dyDescent="0.25">
      <c r="B24" s="18" t="s">
        <v>34</v>
      </c>
      <c r="C24" s="40">
        <v>1000</v>
      </c>
      <c r="D24" s="61"/>
      <c r="E24" s="7" t="s">
        <v>25</v>
      </c>
      <c r="F24" s="8">
        <f>52*5-9</f>
        <v>251</v>
      </c>
      <c r="G24" s="61"/>
    </row>
    <row r="25" spans="1:22" ht="18.75" customHeight="1" x14ac:dyDescent="0.25">
      <c r="B25" s="18" t="s">
        <v>35</v>
      </c>
      <c r="C25" s="40">
        <f>12*100</f>
        <v>1200</v>
      </c>
      <c r="D25" s="61"/>
      <c r="E25" s="9" t="s">
        <v>26</v>
      </c>
      <c r="F25" s="10">
        <f>(E5*F3)/F24</f>
        <v>2</v>
      </c>
      <c r="G25" s="61"/>
    </row>
    <row r="26" spans="1:22" ht="18.75" customHeight="1" x14ac:dyDescent="0.25">
      <c r="B26" s="18" t="s">
        <v>27</v>
      </c>
      <c r="C26" s="40">
        <v>500</v>
      </c>
      <c r="D26" s="61"/>
      <c r="E26" s="11" t="s">
        <v>5</v>
      </c>
      <c r="F26" s="12">
        <f>F25*C4</f>
        <v>1.1599999999999999</v>
      </c>
      <c r="G26" s="61"/>
      <c r="Q26" s="103"/>
      <c r="R26" s="104"/>
      <c r="S26" s="69"/>
      <c r="V26" s="47"/>
    </row>
    <row r="27" spans="1:22" ht="18.75" customHeight="1" x14ac:dyDescent="0.25">
      <c r="B27" s="18"/>
      <c r="C27" s="19"/>
      <c r="D27" s="61"/>
      <c r="E27" s="9" t="s">
        <v>7</v>
      </c>
      <c r="F27" s="10">
        <f>F25-F26</f>
        <v>0.84000000000000008</v>
      </c>
      <c r="G27" s="61"/>
      <c r="Q27" s="103"/>
      <c r="R27" s="104"/>
      <c r="S27" s="69"/>
      <c r="V27" s="47"/>
    </row>
    <row r="28" spans="1:22" ht="18.75" customHeight="1" x14ac:dyDescent="0.25">
      <c r="B28" s="18"/>
      <c r="C28" s="19"/>
      <c r="D28" s="61"/>
      <c r="E28" s="11" t="s">
        <v>9</v>
      </c>
      <c r="F28" s="13">
        <f>F26*F6</f>
        <v>359.59999999999997</v>
      </c>
      <c r="G28" s="61"/>
      <c r="Q28" s="103"/>
      <c r="R28" s="104"/>
      <c r="S28" s="69"/>
      <c r="V28" s="47"/>
    </row>
    <row r="29" spans="1:22" ht="18.75" customHeight="1" x14ac:dyDescent="0.25">
      <c r="B29" s="20"/>
      <c r="C29" s="21"/>
      <c r="D29" s="61"/>
      <c r="E29" s="9" t="s">
        <v>10</v>
      </c>
      <c r="F29" s="14">
        <f>F27*F7</f>
        <v>168.00000000000003</v>
      </c>
      <c r="G29" s="61"/>
      <c r="Q29" s="103"/>
      <c r="R29" s="104"/>
      <c r="S29" s="69"/>
      <c r="V29" s="47"/>
    </row>
    <row r="30" spans="1:22" ht="23.25" customHeight="1" thickBot="1" x14ac:dyDescent="0.3">
      <c r="B30" s="22" t="s">
        <v>28</v>
      </c>
      <c r="C30" s="23">
        <f>SUM(C24:C29)</f>
        <v>2700</v>
      </c>
      <c r="D30" s="61"/>
      <c r="E30" s="15" t="s">
        <v>29</v>
      </c>
      <c r="F30" s="16">
        <f>F28-F29</f>
        <v>191.59999999999994</v>
      </c>
      <c r="G30" s="81"/>
      <c r="Q30" s="103"/>
      <c r="R30" s="104"/>
      <c r="S30" s="69"/>
      <c r="V30" s="47"/>
    </row>
    <row r="31" spans="1:22" x14ac:dyDescent="0.25">
      <c r="B31" s="61"/>
      <c r="C31" s="61"/>
      <c r="D31" s="61"/>
      <c r="E31" s="61"/>
      <c r="F31" s="61"/>
      <c r="G31" s="61"/>
      <c r="Q31" s="103"/>
      <c r="R31" s="104"/>
      <c r="S31" s="69"/>
      <c r="V31" s="47"/>
    </row>
    <row r="32" spans="1:22" ht="18.75" customHeight="1" thickBot="1" x14ac:dyDescent="0.3">
      <c r="B32" s="129" t="s">
        <v>41</v>
      </c>
      <c r="C32" s="130"/>
      <c r="D32" s="130"/>
      <c r="E32" s="130"/>
      <c r="F32" s="131"/>
      <c r="G32" s="61"/>
      <c r="Q32" s="103"/>
      <c r="R32" s="104"/>
      <c r="S32" s="69"/>
      <c r="V32" s="47"/>
    </row>
    <row r="33" spans="2:22" ht="18.75" customHeight="1" thickTop="1" x14ac:dyDescent="0.25">
      <c r="B33" s="117" t="s">
        <v>42</v>
      </c>
      <c r="C33" s="118"/>
      <c r="D33" s="96"/>
      <c r="E33" s="142">
        <v>30000</v>
      </c>
      <c r="F33" s="143"/>
      <c r="G33" s="61"/>
      <c r="H33" s="105"/>
      <c r="I33" s="100"/>
      <c r="J33" s="101"/>
      <c r="K33" s="102"/>
      <c r="L33" s="102"/>
      <c r="M33" s="102"/>
      <c r="N33" s="102"/>
      <c r="O33" s="102"/>
      <c r="P33" s="102"/>
      <c r="Q33" s="103"/>
      <c r="R33" s="104"/>
      <c r="S33" s="69"/>
      <c r="V33" s="47"/>
    </row>
    <row r="34" spans="2:22" ht="18.75" customHeight="1" x14ac:dyDescent="0.25">
      <c r="B34" s="117" t="s">
        <v>29</v>
      </c>
      <c r="C34" s="118"/>
      <c r="D34" s="63"/>
      <c r="E34" s="119">
        <f>F30</f>
        <v>191.59999999999994</v>
      </c>
      <c r="F34" s="120"/>
      <c r="G34" s="61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47"/>
    </row>
    <row r="35" spans="2:22" ht="18.75" customHeight="1" x14ac:dyDescent="0.25">
      <c r="B35" s="117" t="s">
        <v>15</v>
      </c>
      <c r="C35" s="118"/>
      <c r="D35" s="63"/>
      <c r="E35" s="118">
        <f>F25*F15</f>
        <v>6</v>
      </c>
      <c r="F35" s="120"/>
      <c r="G35" s="61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47"/>
    </row>
    <row r="36" spans="2:22" ht="18.75" customHeight="1" x14ac:dyDescent="0.25">
      <c r="B36" s="117" t="s">
        <v>40</v>
      </c>
      <c r="C36" s="118"/>
      <c r="D36" s="63"/>
      <c r="E36" s="119">
        <f>+E35*F16</f>
        <v>30</v>
      </c>
      <c r="F36" s="120"/>
      <c r="G36" s="61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47"/>
    </row>
    <row r="37" spans="2:22" ht="18.75" customHeight="1" x14ac:dyDescent="0.25">
      <c r="B37" s="136" t="s">
        <v>18</v>
      </c>
      <c r="C37" s="137"/>
      <c r="D37" s="97"/>
      <c r="E37" s="138">
        <f>+E34-E36</f>
        <v>161.59999999999994</v>
      </c>
      <c r="F37" s="139"/>
      <c r="G37" s="61"/>
      <c r="H37" s="61"/>
      <c r="I37" s="61"/>
      <c r="J37" s="61"/>
      <c r="K37" s="61"/>
      <c r="L37" s="61"/>
      <c r="M37" s="61"/>
      <c r="N37" s="61"/>
      <c r="O37" s="62"/>
      <c r="P37" s="61"/>
      <c r="Q37" s="61"/>
      <c r="R37" s="61"/>
      <c r="S37" s="62"/>
      <c r="T37" s="61"/>
      <c r="U37" s="61"/>
    </row>
    <row r="38" spans="2:22" ht="18.75" customHeight="1" x14ac:dyDescent="0.25">
      <c r="B38" s="117" t="s">
        <v>19</v>
      </c>
      <c r="C38" s="118"/>
      <c r="D38" s="63"/>
      <c r="E38" s="140">
        <f>+E37/E33</f>
        <v>5.3866666666666646E-3</v>
      </c>
      <c r="F38" s="141"/>
      <c r="G38" s="61"/>
      <c r="H38" s="61"/>
      <c r="I38" s="61"/>
      <c r="J38" s="61"/>
      <c r="K38" s="61"/>
      <c r="L38" s="61"/>
      <c r="M38" s="61"/>
      <c r="N38" s="61"/>
      <c r="O38" s="62"/>
      <c r="P38" s="61"/>
      <c r="Q38" s="61"/>
      <c r="R38" s="61"/>
      <c r="S38" s="62"/>
      <c r="T38" s="61"/>
      <c r="U38" s="61"/>
    </row>
    <row r="39" spans="2:22" ht="18.75" customHeight="1" x14ac:dyDescent="0.25">
      <c r="B39" s="136" t="s">
        <v>21</v>
      </c>
      <c r="C39" s="137"/>
      <c r="D39" s="97"/>
      <c r="E39" s="144">
        <f>+E37/E33*365</f>
        <v>1.9661333333333326</v>
      </c>
      <c r="F39" s="145"/>
      <c r="G39" s="61"/>
      <c r="H39" s="61"/>
      <c r="I39" s="61"/>
      <c r="J39" s="61"/>
      <c r="K39" s="61"/>
      <c r="L39" s="61"/>
      <c r="M39" s="61"/>
      <c r="N39" s="61"/>
      <c r="O39" s="62"/>
      <c r="P39" s="61"/>
      <c r="Q39" s="61"/>
      <c r="R39" s="61"/>
      <c r="S39" s="62"/>
      <c r="T39" s="61"/>
      <c r="U39" s="61"/>
    </row>
    <row r="40" spans="2:22" x14ac:dyDescent="0.2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/>
      <c r="P40" s="61"/>
      <c r="Q40" s="61"/>
      <c r="R40" s="61"/>
      <c r="S40" s="62"/>
      <c r="T40" s="61"/>
      <c r="U40" s="61"/>
    </row>
    <row r="41" spans="2:22" x14ac:dyDescent="0.25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  <c r="P41" s="61"/>
      <c r="Q41" s="61"/>
      <c r="R41" s="61"/>
      <c r="S41" s="62"/>
      <c r="T41" s="61"/>
      <c r="U41" s="61"/>
    </row>
    <row r="42" spans="2:22" x14ac:dyDescent="0.25">
      <c r="B42" s="135"/>
      <c r="C42" s="135"/>
      <c r="D42" s="135"/>
      <c r="E42" s="135"/>
      <c r="F42" s="135"/>
      <c r="G42" s="61"/>
      <c r="H42" s="61"/>
      <c r="I42" s="61"/>
      <c r="J42" s="61"/>
      <c r="K42" s="61"/>
      <c r="L42" s="61"/>
      <c r="M42" s="61"/>
      <c r="N42" s="61"/>
      <c r="O42" s="62"/>
      <c r="P42" s="61"/>
      <c r="Q42" s="61"/>
      <c r="R42" s="61"/>
      <c r="S42" s="62"/>
      <c r="T42" s="61"/>
      <c r="U42" s="61"/>
    </row>
    <row r="51" spans="14:15" x14ac:dyDescent="0.25">
      <c r="N51" s="46"/>
      <c r="O51" s="49"/>
    </row>
    <row r="52" spans="14:15" x14ac:dyDescent="0.25">
      <c r="N52" s="46"/>
      <c r="O52" s="49"/>
    </row>
    <row r="53" spans="14:15" x14ac:dyDescent="0.25">
      <c r="N53" s="46"/>
      <c r="O53" s="49"/>
    </row>
    <row r="54" spans="14:15" x14ac:dyDescent="0.25">
      <c r="N54" s="46"/>
      <c r="O54" s="49"/>
    </row>
    <row r="55" spans="14:15" x14ac:dyDescent="0.25">
      <c r="N55" s="46"/>
      <c r="O55" s="49"/>
    </row>
  </sheetData>
  <mergeCells count="45">
    <mergeCell ref="T2:U2"/>
    <mergeCell ref="W2:X2"/>
    <mergeCell ref="T3:T4"/>
    <mergeCell ref="U3:U4"/>
    <mergeCell ref="W3:W4"/>
    <mergeCell ref="X3:X4"/>
    <mergeCell ref="M3:M4"/>
    <mergeCell ref="N3:N4"/>
    <mergeCell ref="H2:N2"/>
    <mergeCell ref="P2:R2"/>
    <mergeCell ref="P3:P4"/>
    <mergeCell ref="Q3:Q4"/>
    <mergeCell ref="R3:R4"/>
    <mergeCell ref="I3:I4"/>
    <mergeCell ref="J3:J4"/>
    <mergeCell ref="K3:K4"/>
    <mergeCell ref="L3:L4"/>
    <mergeCell ref="B1:F1"/>
    <mergeCell ref="H3:H4"/>
    <mergeCell ref="B42:F42"/>
    <mergeCell ref="B37:C37"/>
    <mergeCell ref="E37:F37"/>
    <mergeCell ref="B38:C38"/>
    <mergeCell ref="E38:F38"/>
    <mergeCell ref="B33:C33"/>
    <mergeCell ref="E33:F33"/>
    <mergeCell ref="B39:C39"/>
    <mergeCell ref="E39:F39"/>
    <mergeCell ref="B18:F18"/>
    <mergeCell ref="B34:C34"/>
    <mergeCell ref="E34:F34"/>
    <mergeCell ref="B35:C35"/>
    <mergeCell ref="E35:F35"/>
    <mergeCell ref="B36:C36"/>
    <mergeCell ref="E36:F36"/>
    <mergeCell ref="E19:E21"/>
    <mergeCell ref="F19:F21"/>
    <mergeCell ref="E23:F23"/>
    <mergeCell ref="B32:F32"/>
    <mergeCell ref="B11:F11"/>
    <mergeCell ref="E5:F5"/>
    <mergeCell ref="B5:C5"/>
    <mergeCell ref="B2:C2"/>
    <mergeCell ref="E8:E9"/>
    <mergeCell ref="F8:F9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Bao</dc:creator>
  <cp:lastModifiedBy>Sami</cp:lastModifiedBy>
  <dcterms:created xsi:type="dcterms:W3CDTF">2012-10-23T19:08:12Z</dcterms:created>
  <dcterms:modified xsi:type="dcterms:W3CDTF">2015-10-16T23:56:40Z</dcterms:modified>
</cp:coreProperties>
</file>